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amunoz\Documents\Documentos\"/>
    </mc:Choice>
  </mc:AlternateContent>
  <xr:revisionPtr revIDLastSave="0" documentId="13_ncr:1_{3E75CDAD-44AD-4A71-BCE8-2B5B6D0686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IMULADOR 2019 Art. 383" sheetId="1" r:id="rId1"/>
  </sheets>
  <definedNames>
    <definedName name="_xlnm.Print_Area" localSheetId="0">'SIMULADOR 2019 Art. 383'!$A$1:$G$51</definedName>
  </definedNames>
  <calcPr calcId="181029"/>
  <customWorkbookViews>
    <customWorkbookView name="Edwin Alberto Muñoz Holguin - Vista personalizada" guid="{169EAEBB-C5CC-4297-BF8C-64F12E76A8C6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E4" i="1" l="1"/>
  <c r="E9" i="1" l="1"/>
  <c r="E11" i="1" l="1"/>
  <c r="E12" i="1" l="1"/>
  <c r="E20" i="1"/>
  <c r="E25" i="1"/>
  <c r="E46" i="1"/>
  <c r="F24" i="1"/>
  <c r="F11" i="1" l="1"/>
  <c r="E10" i="1"/>
  <c r="F13" i="1"/>
  <c r="E14" i="1" l="1"/>
  <c r="E29" i="1" s="1"/>
  <c r="E21" i="1" l="1"/>
  <c r="E26" i="1" s="1"/>
  <c r="E27" i="1" l="1"/>
  <c r="E30" i="1" s="1"/>
  <c r="E32" i="1" s="1"/>
  <c r="E33" i="1" s="1"/>
  <c r="E28" i="1" l="1"/>
  <c r="E47" i="1"/>
  <c r="E49" i="1" l="1"/>
  <c r="G49" i="1" l="1"/>
  <c r="F49" i="1"/>
</calcChain>
</file>

<file path=xl/sharedStrings.xml><?xml version="1.0" encoding="utf-8"?>
<sst xmlns="http://schemas.openxmlformats.org/spreadsheetml/2006/main" count="56" uniqueCount="55">
  <si>
    <t>Retencion Salarios</t>
  </si>
  <si>
    <t>Ingreso Laboral Mensual Base para Retención en la Fuente</t>
  </si>
  <si>
    <t xml:space="preserve">Ingreso laboral gravado en UVT </t>
  </si>
  <si>
    <t>Rangos en UVT</t>
  </si>
  <si>
    <t>Tarifa Marginal</t>
  </si>
  <si>
    <t>Impuesto</t>
  </si>
  <si>
    <t>Retencion por aplicar</t>
  </si>
  <si>
    <t>Desde</t>
  </si>
  <si>
    <t>Hasta</t>
  </si>
  <si>
    <t>&gt;0</t>
  </si>
  <si>
    <t>En adelante</t>
  </si>
  <si>
    <t>Ingreso laboral gravado en uvt</t>
  </si>
  <si>
    <t>RETENCION RESULTANTE ART. 383</t>
  </si>
  <si>
    <t>Ingresos Mensuales</t>
  </si>
  <si>
    <t>ARL *</t>
  </si>
  <si>
    <t>Aportes Obligatorios a los Fondos de Pensiones</t>
  </si>
  <si>
    <t>Aportes Obligatorios a Salud</t>
  </si>
  <si>
    <t>MENOS DEDUCCIONES</t>
  </si>
  <si>
    <t>MENOS RENTAS EXENTAS</t>
  </si>
  <si>
    <t>ESTE PROCEDIMIENTO SOLO APLICA PARA: Los trabajadores que presten servicios personales mediante el ejercicio de profesiones liberales o que presten servicios técnicos que no requieran la utilización de materiales o insumos especializados o de maquinaria o equipo especializado, serán considerados dentro de la categoría de empleados, siempre que sus ingresos correspondan en un porcentaje igual o superior a (80%) al ejercicio de dichas actividades. Las persona que no esten dentro de esta definicion se les debe aplicar las tarifas generales. (10%, 11%, 4% y 6%)</t>
  </si>
  <si>
    <t>Fondo de Solidaridad</t>
  </si>
  <si>
    <t>Base para Seguridad Social (40%) del ingreso mensual</t>
  </si>
  <si>
    <t>Aportes voluntarios del mes a fondo de pensiones</t>
  </si>
  <si>
    <t>Total Deducciones y Rentas Exentas</t>
  </si>
  <si>
    <t>Aporte Voluntario a Fondo de Pensiones RAIS</t>
  </si>
  <si>
    <t>SUBTOTAL DEDUCCIONES</t>
  </si>
  <si>
    <t>SUBTOTAL 2</t>
  </si>
  <si>
    <t>SUBTOTAL RENTAS EXENTAS</t>
  </si>
  <si>
    <t>SUBTOTAL 3</t>
  </si>
  <si>
    <t>SUBTOTAL 4</t>
  </si>
  <si>
    <t>Cifra control del 40%</t>
  </si>
  <si>
    <r>
      <rPr>
        <b/>
        <sz val="11"/>
        <rFont val="Arial"/>
        <family val="2"/>
      </rPr>
      <t>SUBTOTAL 1</t>
    </r>
    <r>
      <rPr>
        <b/>
        <sz val="10"/>
        <rFont val="Arial"/>
        <family val="2"/>
      </rPr>
      <t xml:space="preserve"> Ingreso gravable del mes</t>
    </r>
  </si>
  <si>
    <t>&gt;640</t>
  </si>
  <si>
    <t>&gt;945</t>
  </si>
  <si>
    <t>&gt;2300</t>
  </si>
  <si>
    <t>Aportes voluntarios hasta el límite legal (Hasta un valor que adicionado los aportes a las cuentas AFC y el valor de los aportes obligatorios del empleado no exceda del 30% del ingreso tributario del año. Maximo 3.800 UVT</t>
  </si>
  <si>
    <t>Si es pensionado cambie el porcentaje a 0%</t>
  </si>
  <si>
    <t>CONTADURIA GENERAL DEL DEPARTAMENTO DEL VALLE DEL CAUCA</t>
  </si>
  <si>
    <t>SALARIO MINIMO 2020</t>
  </si>
  <si>
    <t>UVT 2020</t>
  </si>
  <si>
    <r>
      <t xml:space="preserve">Pagos de Intereses y Corrección Monetaria por préstamos de vivienda o el costo financiero en virtud de un contrato de leasing habitacional, este valor no puede exceder de 100 UVT mensuales, equivalentes a </t>
    </r>
    <r>
      <rPr>
        <b/>
        <sz val="10"/>
        <rFont val="Arial"/>
        <family val="2"/>
      </rPr>
      <t>$ 3.560.700</t>
    </r>
    <r>
      <rPr>
        <sz val="10"/>
        <rFont val="Arial"/>
        <family val="2"/>
      </rPr>
      <t>, año 2020</t>
    </r>
  </si>
  <si>
    <r>
      <t xml:space="preserve">Pagos por salud - medicina prepagada, hasta </t>
    </r>
    <r>
      <rPr>
        <b/>
        <sz val="10"/>
        <rFont val="Arial"/>
        <family val="2"/>
      </rPr>
      <t>16 UVT</t>
    </r>
    <r>
      <rPr>
        <sz val="10"/>
        <rFont val="Arial"/>
        <family val="2"/>
      </rPr>
      <t xml:space="preserve"> mensuales, equivalentes a </t>
    </r>
    <r>
      <rPr>
        <b/>
        <sz val="10"/>
        <rFont val="Arial"/>
        <family val="2"/>
      </rPr>
      <t>$ 569.712</t>
    </r>
    <r>
      <rPr>
        <sz val="10"/>
        <rFont val="Arial"/>
        <family val="2"/>
      </rPr>
      <t>, año 2020</t>
    </r>
  </si>
  <si>
    <r>
      <t xml:space="preserve">Pagos por dependientes, hasta 10% del ingreso bruto y hasta </t>
    </r>
    <r>
      <rPr>
        <b/>
        <sz val="10"/>
        <rFont val="Arial"/>
        <family val="2"/>
      </rPr>
      <t>32 UVT</t>
    </r>
    <r>
      <rPr>
        <sz val="10"/>
        <rFont val="Arial"/>
        <family val="2"/>
      </rPr>
      <t xml:space="preserve"> mensuales, equivalentes a </t>
    </r>
    <r>
      <rPr>
        <b/>
        <sz val="10"/>
        <rFont val="Arial"/>
        <family val="2"/>
      </rPr>
      <t>$ 1.139,424</t>
    </r>
    <r>
      <rPr>
        <sz val="10"/>
        <rFont val="Arial"/>
        <family val="2"/>
      </rPr>
      <t>, año 2020.</t>
    </r>
  </si>
  <si>
    <r>
      <t xml:space="preserve">Menos 25% rentas de trabajo exentas, hasta el límite legal mensual de </t>
    </r>
    <r>
      <rPr>
        <b/>
        <sz val="10"/>
        <rFont val="Arial"/>
        <family val="2"/>
      </rPr>
      <t xml:space="preserve">240 UVT </t>
    </r>
    <r>
      <rPr>
        <sz val="10"/>
        <rFont val="Arial"/>
        <family val="2"/>
      </rPr>
      <t xml:space="preserve">equivalentes a </t>
    </r>
    <r>
      <rPr>
        <b/>
        <sz val="10"/>
        <rFont val="Arial"/>
        <family val="2"/>
      </rPr>
      <t>$ 8.545.680</t>
    </r>
    <r>
      <rPr>
        <sz val="10"/>
        <rFont val="Arial"/>
        <family val="2"/>
      </rPr>
      <t xml:space="preserve"> año 2020. (Num. 10 Art. 206 ET)</t>
    </r>
  </si>
  <si>
    <t>Verificar clase de riesgo, según tabla</t>
  </si>
  <si>
    <t>DEPURACION RETENCIÓN EN LA FUENTE EMPLEADOS</t>
  </si>
  <si>
    <t>&gt;95</t>
  </si>
  <si>
    <t>(Ingreso laboral gravado expresado en UVT menos 95 UVT)*19%</t>
  </si>
  <si>
    <t>&gt;150</t>
  </si>
  <si>
    <t>(Ingreso laboral gravado expresado en UVT menos 150 UVT)*28% más 10 UVT</t>
  </si>
  <si>
    <t>&gt;360</t>
  </si>
  <si>
    <t>(Ingreso laboral gravado expresado en UVT menos 360 UVT)* 33% más 69 UVT</t>
  </si>
  <si>
    <t>(Ingreso laboral gravado expresado en UVT menos 640 UVT)*35% más 162 UVT</t>
  </si>
  <si>
    <t>(Ingreso laboral gravado expresado en UVT menos 945 UVT)*37% más 268 UVT</t>
  </si>
  <si>
    <t>(Ingreso laboral gravado expresado en UVT menos 2300 UVT)*39% más 770 UVT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</si>
</sst>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;[Red]&quot;$&quot;\ \-#,##0"/>
    <numFmt numFmtId="168" formatCode="_ &quot;$&quot;\ * #,##0.00_ ;_ &quot;$&quot;\ * \-#,##0.00_ ;_ &quot;$&quot;\ * &quot;-&quot;??_ ;_ @_ "/>
    <numFmt numFmtId="169" formatCode="_ &quot;$&quot;\ * #,##0_ ;_ &quot;$&quot;\ * \-#,##0_ ;_ &quot;$&quot;\ * &quot;-&quot;??_ ;_ @_ "/>
    <numFmt numFmtId="170" formatCode="_ * #,##0_ ;_ * \-#,##0_ ;_ * &quot;-&quot;??_ ;_ @_ "/>
    <numFmt numFmtId="171" formatCode="#,##0.0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0" fillId="2" borderId="0" xfId="0" applyFill="1" applyProtection="1"/>
    <xf numFmtId="0" fontId="0" fillId="2" borderId="2" xfId="0" applyFill="1" applyBorder="1" applyProtection="1"/>
    <xf numFmtId="0" fontId="13" fillId="2" borderId="2" xfId="0" applyFont="1" applyFill="1" applyBorder="1" applyProtection="1"/>
    <xf numFmtId="0" fontId="13" fillId="2" borderId="0" xfId="0" applyFont="1" applyFill="1" applyProtection="1"/>
    <xf numFmtId="0" fontId="11" fillId="2" borderId="2" xfId="0" applyFont="1" applyFill="1" applyBorder="1" applyProtection="1"/>
    <xf numFmtId="0" fontId="11" fillId="2" borderId="0" xfId="0" applyFont="1" applyFill="1" applyProtection="1"/>
    <xf numFmtId="0" fontId="1" fillId="3" borderId="12" xfId="6" applyFont="1" applyFill="1" applyBorder="1" applyAlignment="1" applyProtection="1">
      <alignment vertical="center" wrapText="1"/>
    </xf>
    <xf numFmtId="0" fontId="1" fillId="3" borderId="0" xfId="6" applyFont="1" applyFill="1" applyBorder="1" applyAlignment="1" applyProtection="1">
      <alignment vertical="center" wrapText="1"/>
    </xf>
    <xf numFmtId="169" fontId="1" fillId="3" borderId="13" xfId="3" applyNumberFormat="1" applyFont="1" applyFill="1" applyBorder="1" applyAlignment="1" applyProtection="1">
      <alignment vertical="center"/>
    </xf>
    <xf numFmtId="10" fontId="1" fillId="3" borderId="0" xfId="6" applyNumberFormat="1" applyFont="1" applyFill="1" applyBorder="1" applyAlignment="1" applyProtection="1">
      <alignment vertical="center" wrapText="1"/>
    </xf>
    <xf numFmtId="0" fontId="2" fillId="2" borderId="0" xfId="6" applyFont="1" applyFill="1" applyBorder="1" applyAlignment="1" applyProtection="1">
      <alignment vertical="center"/>
    </xf>
    <xf numFmtId="169" fontId="2" fillId="2" borderId="0" xfId="3" applyNumberFormat="1" applyFont="1" applyFill="1" applyBorder="1" applyAlignment="1" applyProtection="1">
      <alignment vertical="center"/>
    </xf>
    <xf numFmtId="0" fontId="1" fillId="3" borderId="14" xfId="6" applyFont="1" applyFill="1" applyBorder="1" applyAlignment="1" applyProtection="1">
      <alignment vertical="center" wrapText="1"/>
    </xf>
    <xf numFmtId="0" fontId="1" fillId="3" borderId="15" xfId="6" applyFont="1" applyFill="1" applyBorder="1" applyAlignment="1" applyProtection="1">
      <alignment vertical="center" wrapText="1"/>
    </xf>
    <xf numFmtId="0" fontId="1" fillId="3" borderId="17" xfId="6" applyFont="1" applyFill="1" applyBorder="1" applyAlignment="1" applyProtection="1">
      <alignment vertical="center" wrapText="1"/>
    </xf>
    <xf numFmtId="169" fontId="1" fillId="3" borderId="18" xfId="3" applyNumberFormat="1" applyFont="1" applyFill="1" applyBorder="1" applyAlignment="1" applyProtection="1">
      <alignment vertical="center"/>
    </xf>
    <xf numFmtId="0" fontId="2" fillId="4" borderId="14" xfId="6" applyFont="1" applyFill="1" applyBorder="1" applyAlignment="1" applyProtection="1">
      <alignment vertical="center"/>
    </xf>
    <xf numFmtId="0" fontId="2" fillId="4" borderId="22" xfId="6" applyFont="1" applyFill="1" applyBorder="1" applyAlignment="1" applyProtection="1">
      <alignment vertical="center"/>
    </xf>
    <xf numFmtId="169" fontId="2" fillId="4" borderId="16" xfId="3" applyNumberFormat="1" applyFont="1" applyFill="1" applyBorder="1" applyAlignment="1" applyProtection="1">
      <alignment vertical="center"/>
    </xf>
    <xf numFmtId="0" fontId="1" fillId="3" borderId="19" xfId="6" applyFont="1" applyFill="1" applyBorder="1" applyAlignment="1" applyProtection="1">
      <alignment vertical="center" wrapText="1"/>
    </xf>
    <xf numFmtId="0" fontId="0" fillId="2" borderId="4" xfId="0" applyFill="1" applyBorder="1" applyProtection="1"/>
    <xf numFmtId="0" fontId="0" fillId="2" borderId="5" xfId="0" applyFill="1" applyBorder="1" applyProtection="1"/>
    <xf numFmtId="169" fontId="1" fillId="2" borderId="5" xfId="3" applyNumberFormat="1" applyFont="1" applyFill="1" applyBorder="1" applyProtection="1"/>
    <xf numFmtId="169" fontId="1" fillId="2" borderId="0" xfId="3" applyNumberFormat="1" applyFont="1" applyFill="1" applyProtection="1"/>
    <xf numFmtId="0" fontId="12" fillId="2" borderId="0" xfId="0" applyFont="1" applyFill="1" applyProtection="1"/>
    <xf numFmtId="169" fontId="9" fillId="2" borderId="0" xfId="3" applyNumberFormat="1" applyFont="1" applyFill="1" applyProtection="1"/>
    <xf numFmtId="0" fontId="2" fillId="2" borderId="0" xfId="0" applyFont="1" applyFill="1" applyBorder="1" applyProtection="1"/>
    <xf numFmtId="169" fontId="1" fillId="2" borderId="0" xfId="3" applyNumberFormat="1" applyFont="1" applyFill="1" applyBorder="1" applyProtection="1"/>
    <xf numFmtId="0" fontId="12" fillId="2" borderId="0" xfId="0" applyFont="1" applyFill="1" applyProtection="1">
      <protection locked="0"/>
    </xf>
    <xf numFmtId="169" fontId="2" fillId="7" borderId="16" xfId="3" applyNumberFormat="1" applyFont="1" applyFill="1" applyBorder="1" applyAlignment="1" applyProtection="1">
      <alignment vertical="center"/>
      <protection locked="0"/>
    </xf>
    <xf numFmtId="169" fontId="1" fillId="7" borderId="16" xfId="3" applyNumberFormat="1" applyFont="1" applyFill="1" applyBorder="1" applyAlignment="1" applyProtection="1">
      <alignment vertical="center"/>
      <protection locked="0"/>
    </xf>
    <xf numFmtId="169" fontId="1" fillId="7" borderId="18" xfId="3" applyNumberFormat="1" applyFont="1" applyFill="1" applyBorder="1" applyAlignment="1" applyProtection="1">
      <alignment vertical="center"/>
      <protection locked="0"/>
    </xf>
    <xf numFmtId="0" fontId="2" fillId="6" borderId="23" xfId="6" applyFont="1" applyFill="1" applyBorder="1" applyAlignment="1" applyProtection="1">
      <alignment vertical="center" wrapText="1"/>
    </xf>
    <xf numFmtId="10" fontId="2" fillId="6" borderId="23" xfId="6" applyNumberFormat="1" applyFont="1" applyFill="1" applyBorder="1" applyAlignment="1" applyProtection="1">
      <alignment vertical="center" wrapText="1"/>
    </xf>
    <xf numFmtId="169" fontId="2" fillId="6" borderId="23" xfId="3" applyNumberFormat="1" applyFont="1" applyFill="1" applyBorder="1" applyAlignment="1" applyProtection="1">
      <alignment vertical="center"/>
    </xf>
    <xf numFmtId="17" fontId="2" fillId="6" borderId="9" xfId="6" applyNumberFormat="1" applyFont="1" applyFill="1" applyBorder="1" applyAlignment="1" applyProtection="1">
      <alignment vertical="center"/>
    </xf>
    <xf numFmtId="17" fontId="2" fillId="6" borderId="21" xfId="6" applyNumberFormat="1" applyFont="1" applyFill="1" applyBorder="1" applyAlignment="1" applyProtection="1">
      <alignment vertical="center"/>
    </xf>
    <xf numFmtId="169" fontId="2" fillId="6" borderId="11" xfId="6" applyNumberFormat="1" applyFont="1" applyFill="1" applyBorder="1" applyAlignment="1" applyProtection="1">
      <alignment vertical="center"/>
    </xf>
    <xf numFmtId="0" fontId="2" fillId="8" borderId="19" xfId="6" applyFont="1" applyFill="1" applyBorder="1" applyAlignment="1" applyProtection="1">
      <alignment vertical="center"/>
    </xf>
    <xf numFmtId="0" fontId="2" fillId="8" borderId="24" xfId="6" applyFont="1" applyFill="1" applyBorder="1" applyAlignment="1" applyProtection="1">
      <alignment vertical="center"/>
    </xf>
    <xf numFmtId="169" fontId="6" fillId="8" borderId="20" xfId="3" applyNumberFormat="1" applyFont="1" applyFill="1" applyBorder="1" applyAlignment="1" applyProtection="1">
      <alignment vertical="center"/>
    </xf>
    <xf numFmtId="0" fontId="2" fillId="8" borderId="19" xfId="6" applyFont="1" applyFill="1" applyBorder="1" applyAlignment="1" applyProtection="1">
      <alignment vertical="center" wrapText="1"/>
    </xf>
    <xf numFmtId="0" fontId="2" fillId="8" borderId="24" xfId="6" applyFont="1" applyFill="1" applyBorder="1" applyAlignment="1" applyProtection="1">
      <alignment vertical="center" wrapText="1"/>
    </xf>
    <xf numFmtId="168" fontId="2" fillId="8" borderId="20" xfId="3" applyNumberFormat="1" applyFont="1" applyFill="1" applyBorder="1" applyAlignment="1" applyProtection="1">
      <alignment vertical="center"/>
    </xf>
    <xf numFmtId="17" fontId="2" fillId="9" borderId="28" xfId="6" applyNumberFormat="1" applyFont="1" applyFill="1" applyBorder="1" applyAlignment="1" applyProtection="1">
      <alignment vertical="center"/>
    </xf>
    <xf numFmtId="17" fontId="2" fillId="9" borderId="17" xfId="6" applyNumberFormat="1" applyFont="1" applyFill="1" applyBorder="1" applyAlignment="1" applyProtection="1">
      <alignment vertical="center"/>
    </xf>
    <xf numFmtId="169" fontId="2" fillId="9" borderId="18" xfId="6" applyNumberFormat="1" applyFont="1" applyFill="1" applyBorder="1" applyAlignment="1" applyProtection="1">
      <alignment vertical="center"/>
    </xf>
    <xf numFmtId="0" fontId="2" fillId="10" borderId="15" xfId="0" applyFont="1" applyFill="1" applyBorder="1" applyProtection="1"/>
    <xf numFmtId="0" fontId="6" fillId="2" borderId="1" xfId="6" applyFont="1" applyFill="1" applyBorder="1" applyAlignment="1" applyProtection="1">
      <alignment vertical="center"/>
    </xf>
    <xf numFmtId="0" fontId="6" fillId="2" borderId="8" xfId="6" applyFont="1" applyFill="1" applyBorder="1" applyAlignment="1" applyProtection="1">
      <alignment vertical="center"/>
    </xf>
    <xf numFmtId="169" fontId="6" fillId="2" borderId="7" xfId="3" applyNumberFormat="1" applyFont="1" applyFill="1" applyBorder="1" applyAlignment="1" applyProtection="1">
      <alignment vertical="center"/>
    </xf>
    <xf numFmtId="0" fontId="6" fillId="2" borderId="4" xfId="6" applyFont="1" applyFill="1" applyBorder="1" applyAlignment="1" applyProtection="1">
      <alignment vertical="center"/>
    </xf>
    <xf numFmtId="0" fontId="6" fillId="2" borderId="5" xfId="6" applyFont="1" applyFill="1" applyBorder="1" applyAlignment="1" applyProtection="1">
      <alignment vertical="center"/>
    </xf>
    <xf numFmtId="169" fontId="6" fillId="2" borderId="6" xfId="3" applyNumberFormat="1" applyFont="1" applyFill="1" applyBorder="1" applyAlignment="1" applyProtection="1">
      <alignment vertical="center"/>
    </xf>
    <xf numFmtId="0" fontId="2" fillId="11" borderId="9" xfId="6" applyFont="1" applyFill="1" applyBorder="1" applyAlignment="1" applyProtection="1">
      <alignment horizontal="center" vertical="center" wrapText="1"/>
    </xf>
    <xf numFmtId="169" fontId="2" fillId="11" borderId="11" xfId="3" applyNumberFormat="1" applyFont="1" applyFill="1" applyBorder="1" applyAlignment="1" applyProtection="1">
      <alignment horizontal="center" vertical="center"/>
    </xf>
    <xf numFmtId="0" fontId="2" fillId="11" borderId="14" xfId="6" applyFont="1" applyFill="1" applyBorder="1" applyAlignment="1" applyProtection="1">
      <alignment vertical="center" wrapText="1"/>
    </xf>
    <xf numFmtId="0" fontId="2" fillId="11" borderId="22" xfId="6" applyFont="1" applyFill="1" applyBorder="1" applyAlignment="1" applyProtection="1">
      <alignment vertical="center" wrapText="1"/>
    </xf>
    <xf numFmtId="17" fontId="21" fillId="6" borderId="9" xfId="6" applyNumberFormat="1" applyFont="1" applyFill="1" applyBorder="1" applyAlignment="1" applyProtection="1">
      <alignment vertical="center"/>
    </xf>
    <xf numFmtId="0" fontId="0" fillId="2" borderId="3" xfId="0" applyFill="1" applyBorder="1" applyProtection="1"/>
    <xf numFmtId="0" fontId="11" fillId="2" borderId="3" xfId="0" applyFont="1" applyFill="1" applyBorder="1" applyProtection="1"/>
    <xf numFmtId="169" fontId="11" fillId="2" borderId="3" xfId="0" applyNumberFormat="1" applyFont="1" applyFill="1" applyBorder="1" applyProtection="1"/>
    <xf numFmtId="3" fontId="15" fillId="2" borderId="0" xfId="6" applyNumberFormat="1" applyFont="1" applyFill="1" applyBorder="1" applyAlignment="1" applyProtection="1">
      <alignment vertical="center"/>
    </xf>
    <xf numFmtId="3" fontId="14" fillId="2" borderId="0" xfId="6" applyNumberFormat="1" applyFont="1" applyFill="1" applyBorder="1" applyAlignment="1" applyProtection="1">
      <alignment vertical="center"/>
    </xf>
    <xf numFmtId="3" fontId="2" fillId="2" borderId="0" xfId="6" applyNumberFormat="1" applyFont="1" applyFill="1" applyBorder="1" applyAlignment="1" applyProtection="1">
      <alignment vertical="center"/>
      <protection locked="0"/>
    </xf>
    <xf numFmtId="3" fontId="2" fillId="2" borderId="0" xfId="6" applyNumberFormat="1" applyFont="1" applyFill="1" applyBorder="1" applyAlignment="1" applyProtection="1">
      <alignment vertical="center"/>
    </xf>
    <xf numFmtId="3" fontId="15" fillId="2" borderId="0" xfId="6" applyNumberFormat="1" applyFont="1" applyFill="1" applyBorder="1" applyAlignment="1" applyProtection="1"/>
    <xf numFmtId="169" fontId="0" fillId="2" borderId="3" xfId="0" applyNumberFormat="1" applyFill="1" applyBorder="1" applyProtection="1"/>
    <xf numFmtId="2" fontId="1" fillId="2" borderId="0" xfId="6" applyNumberFormat="1" applyFont="1" applyFill="1" applyBorder="1" applyAlignment="1" applyProtection="1">
      <alignment vertical="center"/>
    </xf>
    <xf numFmtId="3" fontId="15" fillId="0" borderId="0" xfId="6" applyNumberFormat="1" applyFont="1" applyFill="1" applyBorder="1" applyAlignment="1" applyProtection="1">
      <alignment vertical="center"/>
    </xf>
    <xf numFmtId="164" fontId="5" fillId="13" borderId="15" xfId="4" applyNumberFormat="1" applyFont="1" applyFill="1" applyBorder="1" applyAlignment="1" applyProtection="1">
      <alignment horizontal="right" vertical="top" wrapText="1"/>
    </xf>
    <xf numFmtId="0" fontId="22" fillId="2" borderId="0" xfId="0" applyFont="1" applyFill="1" applyProtection="1"/>
    <xf numFmtId="10" fontId="1" fillId="7" borderId="0" xfId="6" applyNumberFormat="1" applyFont="1" applyFill="1" applyBorder="1" applyAlignment="1" applyProtection="1">
      <alignment vertical="center" wrapText="1"/>
      <protection locked="0"/>
    </xf>
    <xf numFmtId="0" fontId="19" fillId="0" borderId="3" xfId="6" applyNumberFormat="1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3" fillId="9" borderId="15" xfId="5" applyFont="1" applyFill="1" applyBorder="1" applyAlignment="1">
      <alignment horizontal="center" vertical="center" wrapText="1"/>
    </xf>
    <xf numFmtId="9" fontId="3" fillId="9" borderId="15" xfId="5" applyNumberFormat="1" applyFont="1" applyFill="1" applyBorder="1" applyAlignment="1">
      <alignment horizontal="center" vertical="center" wrapText="1"/>
    </xf>
    <xf numFmtId="9" fontId="17" fillId="9" borderId="15" xfId="5" applyNumberFormat="1" applyFont="1" applyFill="1" applyBorder="1" applyAlignment="1">
      <alignment horizontal="center" vertical="center" wrapText="1"/>
    </xf>
    <xf numFmtId="0" fontId="18" fillId="9" borderId="15" xfId="5" applyFont="1" applyFill="1" applyBorder="1" applyAlignment="1">
      <alignment horizontal="center" vertical="center" wrapText="1"/>
    </xf>
    <xf numFmtId="0" fontId="3" fillId="3" borderId="29" xfId="5" applyFont="1" applyFill="1" applyBorder="1" applyAlignment="1" applyProtection="1">
      <alignment vertical="center" wrapText="1"/>
    </xf>
    <xf numFmtId="0" fontId="3" fillId="3" borderId="29" xfId="5" applyFont="1" applyFill="1" applyBorder="1" applyAlignment="1" applyProtection="1">
      <alignment horizontal="center" vertical="center" wrapText="1"/>
    </xf>
    <xf numFmtId="0" fontId="8" fillId="3" borderId="31" xfId="5" applyFont="1" applyFill="1" applyBorder="1" applyAlignment="1" applyProtection="1">
      <alignment horizontal="center" vertical="center" wrapText="1"/>
    </xf>
    <xf numFmtId="170" fontId="16" fillId="9" borderId="16" xfId="2" applyNumberFormat="1" applyFont="1" applyFill="1" applyBorder="1" applyAlignment="1">
      <alignment horizontal="center" vertical="center"/>
    </xf>
    <xf numFmtId="0" fontId="3" fillId="9" borderId="34" xfId="5" applyFont="1" applyFill="1" applyBorder="1" applyAlignment="1">
      <alignment horizontal="center" vertical="center" wrapText="1"/>
    </xf>
    <xf numFmtId="9" fontId="17" fillId="9" borderId="34" xfId="5" applyNumberFormat="1" applyFont="1" applyFill="1" applyBorder="1" applyAlignment="1">
      <alignment horizontal="center" vertical="center" wrapText="1"/>
    </xf>
    <xf numFmtId="0" fontId="18" fillId="9" borderId="34" xfId="5" applyFont="1" applyFill="1" applyBorder="1" applyAlignment="1">
      <alignment horizontal="center" vertical="center" wrapText="1"/>
    </xf>
    <xf numFmtId="169" fontId="1" fillId="2" borderId="2" xfId="3" applyNumberFormat="1" applyFont="1" applyFill="1" applyBorder="1" applyProtection="1"/>
    <xf numFmtId="169" fontId="1" fillId="7" borderId="13" xfId="3" applyNumberFormat="1" applyFont="1" applyFill="1" applyBorder="1" applyAlignment="1" applyProtection="1">
      <alignment vertical="center"/>
      <protection locked="0"/>
    </xf>
    <xf numFmtId="0" fontId="11" fillId="2" borderId="3" xfId="0" applyFont="1" applyFill="1" applyBorder="1" applyProtection="1">
      <protection locked="0"/>
    </xf>
    <xf numFmtId="3" fontId="15" fillId="2" borderId="0" xfId="6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Protection="1">
      <protection locked="0"/>
    </xf>
    <xf numFmtId="3" fontId="2" fillId="2" borderId="3" xfId="6" applyNumberFormat="1" applyFont="1" applyFill="1" applyBorder="1" applyAlignment="1" applyProtection="1">
      <alignment vertical="center"/>
      <protection locked="0"/>
    </xf>
    <xf numFmtId="171" fontId="15" fillId="2" borderId="0" xfId="6" applyNumberFormat="1" applyFont="1" applyFill="1" applyBorder="1" applyAlignment="1" applyProtection="1">
      <alignment vertical="center"/>
    </xf>
    <xf numFmtId="0" fontId="2" fillId="11" borderId="10" xfId="6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1" fillId="2" borderId="0" xfId="0" applyFont="1" applyFill="1" applyBorder="1" applyProtection="1"/>
    <xf numFmtId="0" fontId="13" fillId="2" borderId="0" xfId="0" applyFont="1" applyFill="1" applyBorder="1" applyProtection="1"/>
    <xf numFmtId="168" fontId="1" fillId="0" borderId="0" xfId="3" applyNumberFormat="1" applyFont="1" applyFill="1" applyBorder="1" applyAlignment="1" applyProtection="1">
      <alignment horizontal="right"/>
      <protection locked="0"/>
    </xf>
    <xf numFmtId="169" fontId="1" fillId="0" borderId="0" xfId="3" applyNumberFormat="1" applyFont="1" applyFill="1" applyBorder="1" applyProtection="1">
      <protection locked="0"/>
    </xf>
    <xf numFmtId="169" fontId="6" fillId="0" borderId="0" xfId="3" applyNumberFormat="1" applyFont="1" applyFill="1" applyBorder="1" applyProtection="1">
      <protection locked="0"/>
    </xf>
    <xf numFmtId="169" fontId="1" fillId="10" borderId="15" xfId="3" applyNumberFormat="1" applyFont="1" applyFill="1" applyBorder="1" applyProtection="1"/>
    <xf numFmtId="168" fontId="1" fillId="10" borderId="15" xfId="3" applyNumberFormat="1" applyFont="1" applyFill="1" applyBorder="1" applyProtection="1"/>
    <xf numFmtId="164" fontId="3" fillId="13" borderId="15" xfId="4" applyNumberFormat="1" applyFont="1" applyFill="1" applyBorder="1" applyAlignment="1" applyProtection="1">
      <alignment horizontal="center" vertical="top" wrapText="1"/>
    </xf>
    <xf numFmtId="0" fontId="3" fillId="13" borderId="15" xfId="5" applyFont="1" applyFill="1" applyBorder="1" applyAlignment="1" applyProtection="1">
      <alignment horizontal="center" vertical="top" wrapText="1"/>
    </xf>
    <xf numFmtId="0" fontId="2" fillId="3" borderId="11" xfId="2" applyNumberFormat="1" applyFont="1" applyFill="1" applyBorder="1" applyAlignment="1" applyProtection="1">
      <alignment horizontal="center" vertical="center" wrapText="1"/>
    </xf>
    <xf numFmtId="0" fontId="2" fillId="3" borderId="32" xfId="2" applyNumberFormat="1" applyFont="1" applyFill="1" applyBorder="1" applyAlignment="1" applyProtection="1">
      <alignment horizontal="center" vertical="center" wrapText="1"/>
    </xf>
    <xf numFmtId="0" fontId="3" fillId="3" borderId="21" xfId="5" applyFont="1" applyFill="1" applyBorder="1" applyAlignment="1" applyProtection="1">
      <alignment horizontal="center" vertical="center" wrapText="1"/>
    </xf>
    <xf numFmtId="0" fontId="3" fillId="3" borderId="27" xfId="5" applyFont="1" applyFill="1" applyBorder="1" applyAlignment="1" applyProtection="1">
      <alignment horizontal="center" vertical="center" wrapText="1"/>
    </xf>
    <xf numFmtId="0" fontId="3" fillId="3" borderId="9" xfId="5" applyFont="1" applyFill="1" applyBorder="1" applyAlignment="1" applyProtection="1">
      <alignment horizontal="center" vertical="center" wrapText="1"/>
    </xf>
    <xf numFmtId="0" fontId="3" fillId="3" borderId="30" xfId="5" applyFont="1" applyFill="1" applyBorder="1" applyAlignment="1" applyProtection="1">
      <alignment horizontal="center" vertical="center" wrapText="1"/>
    </xf>
    <xf numFmtId="17" fontId="2" fillId="11" borderId="9" xfId="6" applyNumberFormat="1" applyFont="1" applyFill="1" applyBorder="1" applyAlignment="1" applyProtection="1">
      <alignment horizontal="center" vertical="center"/>
    </xf>
    <xf numFmtId="17" fontId="2" fillId="11" borderId="21" xfId="6" applyNumberFormat="1" applyFont="1" applyFill="1" applyBorder="1" applyAlignment="1" applyProtection="1">
      <alignment horizontal="center" vertical="center"/>
    </xf>
    <xf numFmtId="17" fontId="2" fillId="11" borderId="11" xfId="6" applyNumberFormat="1" applyFont="1" applyFill="1" applyBorder="1" applyAlignment="1" applyProtection="1">
      <alignment horizontal="center" vertical="center"/>
    </xf>
    <xf numFmtId="0" fontId="1" fillId="3" borderId="27" xfId="5" applyFill="1" applyBorder="1" applyAlignment="1" applyProtection="1">
      <alignment horizontal="center" vertical="center" wrapText="1"/>
    </xf>
    <xf numFmtId="0" fontId="2" fillId="11" borderId="25" xfId="6" applyFont="1" applyFill="1" applyBorder="1" applyAlignment="1" applyProtection="1">
      <alignment horizontal="center" vertical="center" wrapText="1"/>
    </xf>
    <xf numFmtId="0" fontId="2" fillId="11" borderId="10" xfId="6" applyFont="1" applyFill="1" applyBorder="1" applyAlignment="1" applyProtection="1">
      <alignment horizontal="center" vertical="center" wrapText="1"/>
    </xf>
    <xf numFmtId="0" fontId="2" fillId="11" borderId="26" xfId="6" applyFont="1" applyFill="1" applyBorder="1" applyAlignment="1" applyProtection="1">
      <alignment horizontal="center" vertical="center" wrapText="1"/>
    </xf>
    <xf numFmtId="17" fontId="20" fillId="12" borderId="1" xfId="1" applyNumberFormat="1" applyFont="1" applyFill="1" applyBorder="1" applyAlignment="1" applyProtection="1">
      <alignment horizontal="center" vertical="center" wrapText="1"/>
    </xf>
    <xf numFmtId="17" fontId="20" fillId="12" borderId="8" xfId="1" applyNumberFormat="1" applyFont="1" applyFill="1" applyBorder="1" applyAlignment="1" applyProtection="1">
      <alignment horizontal="center" vertical="center" wrapText="1"/>
    </xf>
    <xf numFmtId="17" fontId="20" fillId="12" borderId="7" xfId="1" applyNumberFormat="1" applyFont="1" applyFill="1" applyBorder="1" applyAlignment="1" applyProtection="1">
      <alignment horizontal="center" vertical="center" wrapText="1"/>
    </xf>
    <xf numFmtId="0" fontId="19" fillId="5" borderId="2" xfId="6" applyNumberFormat="1" applyFont="1" applyFill="1" applyBorder="1" applyAlignment="1" applyProtection="1">
      <alignment horizontal="center" vertical="center" wrapText="1"/>
    </xf>
    <xf numFmtId="0" fontId="19" fillId="5" borderId="0" xfId="6" applyNumberFormat="1" applyFont="1" applyFill="1" applyBorder="1" applyAlignment="1" applyProtection="1">
      <alignment horizontal="center" vertical="center" wrapText="1"/>
    </xf>
    <xf numFmtId="0" fontId="19" fillId="5" borderId="3" xfId="6" applyNumberFormat="1" applyFont="1" applyFill="1" applyBorder="1" applyAlignment="1" applyProtection="1">
      <alignment horizontal="center" vertical="center" wrapText="1"/>
    </xf>
    <xf numFmtId="0" fontId="8" fillId="3" borderId="14" xfId="5" applyFont="1" applyFill="1" applyBorder="1" applyAlignment="1">
      <alignment horizontal="center" vertical="center" wrapText="1"/>
    </xf>
    <xf numFmtId="0" fontId="8" fillId="3" borderId="15" xfId="5" applyFont="1" applyFill="1" applyBorder="1" applyAlignment="1">
      <alignment horizontal="center" vertical="center" wrapText="1"/>
    </xf>
    <xf numFmtId="167" fontId="8" fillId="9" borderId="15" xfId="5" applyNumberFormat="1" applyFont="1" applyFill="1" applyBorder="1" applyAlignment="1">
      <alignment horizontal="center" vertical="center" wrapText="1"/>
    </xf>
    <xf numFmtId="0" fontId="8" fillId="3" borderId="33" xfId="5" applyFont="1" applyFill="1" applyBorder="1" applyAlignment="1">
      <alignment horizontal="center" vertical="center" wrapText="1"/>
    </xf>
    <xf numFmtId="0" fontId="8" fillId="3" borderId="34" xfId="5" applyFont="1" applyFill="1" applyBorder="1" applyAlignment="1">
      <alignment horizontal="center" vertical="center" wrapText="1"/>
    </xf>
  </cellXfs>
  <cellStyles count="7">
    <cellStyle name="Hipervínculo" xfId="1" builtinId="8"/>
    <cellStyle name="Millares" xfId="2" builtinId="3"/>
    <cellStyle name="Moneda" xfId="3" builtinId="4"/>
    <cellStyle name="Moneda [0]" xfId="4" builtinId="7"/>
    <cellStyle name="Normal" xfId="0" builtinId="0"/>
    <cellStyle name="Normal 2" xfId="5" xr:uid="{00000000-0005-0000-0000-000005000000}"/>
    <cellStyle name="Normal_RETE FUENTE DIC P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2</xdr:row>
      <xdr:rowOff>66675</xdr:rowOff>
    </xdr:from>
    <xdr:to>
      <xdr:col>7</xdr:col>
      <xdr:colOff>28575</xdr:colOff>
      <xdr:row>8</xdr:row>
      <xdr:rowOff>117231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1028700"/>
          <a:ext cx="2667000" cy="1107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39997558519241921"/>
  </sheetPr>
  <dimension ref="B1:G51"/>
  <sheetViews>
    <sheetView tabSelected="1" view="pageBreakPreview" zoomScaleNormal="100" zoomScaleSheetLayoutView="100" workbookViewId="0">
      <selection activeCell="G41" sqref="G41"/>
    </sheetView>
  </sheetViews>
  <sheetFormatPr baseColWidth="10" defaultRowHeight="15" customHeight="1" x14ac:dyDescent="0.25"/>
  <cols>
    <col min="1" max="1" width="1.28515625" style="1" customWidth="1"/>
    <col min="2" max="2" width="6.85546875" style="1" customWidth="1"/>
    <col min="3" max="3" width="54.5703125" style="1" customWidth="1"/>
    <col min="4" max="4" width="7.28515625" style="1" customWidth="1"/>
    <col min="5" max="5" width="19.85546875" style="24" customWidth="1"/>
    <col min="6" max="6" width="32.42578125" style="1" customWidth="1"/>
    <col min="7" max="7" width="20.7109375" style="1" customWidth="1"/>
    <col min="8" max="16384" width="11.42578125" style="1"/>
  </cols>
  <sheetData>
    <row r="1" spans="2:7" ht="28.5" customHeight="1" x14ac:dyDescent="0.25">
      <c r="B1" s="118" t="s">
        <v>45</v>
      </c>
      <c r="C1" s="119"/>
      <c r="D1" s="119"/>
      <c r="E1" s="119"/>
      <c r="F1" s="119"/>
      <c r="G1" s="120"/>
    </row>
    <row r="2" spans="2:7" ht="47.25" customHeight="1" x14ac:dyDescent="0.25">
      <c r="B2" s="121" t="s">
        <v>19</v>
      </c>
      <c r="C2" s="122"/>
      <c r="D2" s="122"/>
      <c r="E2" s="122"/>
      <c r="F2" s="122"/>
      <c r="G2" s="123"/>
    </row>
    <row r="3" spans="2:7" ht="8.25" customHeight="1" thickBot="1" x14ac:dyDescent="0.3">
      <c r="B3" s="87"/>
      <c r="C3" s="28"/>
      <c r="D3" s="28"/>
      <c r="E3" s="28"/>
      <c r="F3" s="28"/>
      <c r="G3" s="74"/>
    </row>
    <row r="4" spans="2:7" ht="15" customHeight="1" x14ac:dyDescent="0.25">
      <c r="B4" s="2"/>
      <c r="C4" s="49" t="s">
        <v>38</v>
      </c>
      <c r="D4" s="50"/>
      <c r="E4" s="51">
        <f>828116*1.06</f>
        <v>877802.96000000008</v>
      </c>
      <c r="F4" s="95"/>
      <c r="G4" s="61"/>
    </row>
    <row r="5" spans="2:7" s="4" customFormat="1" ht="15" customHeight="1" thickBot="1" x14ac:dyDescent="0.3">
      <c r="B5" s="3"/>
      <c r="C5" s="52" t="s">
        <v>39</v>
      </c>
      <c r="D5" s="53"/>
      <c r="E5" s="54">
        <v>35607</v>
      </c>
      <c r="F5" s="97"/>
      <c r="G5" s="61"/>
    </row>
    <row r="6" spans="2:7" ht="15" customHeight="1" x14ac:dyDescent="0.25">
      <c r="B6" s="2"/>
      <c r="C6" s="55" t="s">
        <v>0</v>
      </c>
      <c r="D6" s="94"/>
      <c r="E6" s="56"/>
      <c r="F6" s="95"/>
      <c r="G6" s="61"/>
    </row>
    <row r="7" spans="2:7" s="6" customFormat="1" ht="15" customHeight="1" x14ac:dyDescent="0.25">
      <c r="B7" s="5"/>
      <c r="C7" s="57" t="s">
        <v>13</v>
      </c>
      <c r="D7" s="58"/>
      <c r="E7" s="30">
        <v>4200000</v>
      </c>
      <c r="F7" s="96"/>
      <c r="G7" s="61"/>
    </row>
    <row r="8" spans="2:7" ht="15" customHeight="1" x14ac:dyDescent="0.25">
      <c r="B8" s="2"/>
      <c r="C8" s="7" t="s">
        <v>21</v>
      </c>
      <c r="D8" s="8"/>
      <c r="E8" s="88">
        <v>0</v>
      </c>
      <c r="F8" s="95"/>
      <c r="G8" s="61"/>
    </row>
    <row r="9" spans="2:7" ht="15" customHeight="1" x14ac:dyDescent="0.25">
      <c r="B9" s="2"/>
      <c r="C9" s="7" t="s">
        <v>16</v>
      </c>
      <c r="D9" s="73">
        <v>0.125</v>
      </c>
      <c r="E9" s="9">
        <f>+E8*D9</f>
        <v>0</v>
      </c>
      <c r="F9" s="95"/>
      <c r="G9" s="61"/>
    </row>
    <row r="10" spans="2:7" ht="15" customHeight="1" x14ac:dyDescent="0.25">
      <c r="B10" s="2"/>
      <c r="C10" s="7" t="s">
        <v>15</v>
      </c>
      <c r="D10" s="73">
        <v>0.16</v>
      </c>
      <c r="E10" s="9">
        <f>+E8*D10</f>
        <v>0</v>
      </c>
      <c r="F10" s="70" t="s">
        <v>36</v>
      </c>
      <c r="G10" s="62"/>
    </row>
    <row r="11" spans="2:7" ht="15" customHeight="1" x14ac:dyDescent="0.25">
      <c r="B11" s="2"/>
      <c r="C11" s="7" t="s">
        <v>20</v>
      </c>
      <c r="D11" s="73">
        <v>0.01</v>
      </c>
      <c r="E11" s="9">
        <f>+IF(D10=0,0,IF(E8&gt;E4*4,E8*D11,0))</f>
        <v>0</v>
      </c>
      <c r="F11" s="70" t="str">
        <f>+IF(E8&gt;E4*4,CONCATENATE("Verificar Fondo Solidaridad "),"")</f>
        <v/>
      </c>
      <c r="G11" s="61"/>
    </row>
    <row r="12" spans="2:7" ht="15" customHeight="1" x14ac:dyDescent="0.25">
      <c r="B12" s="2"/>
      <c r="C12" s="7" t="s">
        <v>14</v>
      </c>
      <c r="D12" s="73">
        <v>5.2199999999999998E-3</v>
      </c>
      <c r="E12" s="9">
        <f>+E8*D12</f>
        <v>0</v>
      </c>
      <c r="F12" s="70" t="s">
        <v>44</v>
      </c>
      <c r="G12" s="61"/>
    </row>
    <row r="13" spans="2:7" ht="15" customHeight="1" thickBot="1" x14ac:dyDescent="0.3">
      <c r="B13" s="2"/>
      <c r="C13" s="7" t="s">
        <v>24</v>
      </c>
      <c r="D13" s="10"/>
      <c r="E13" s="31">
        <v>0</v>
      </c>
      <c r="F13" s="63" t="str">
        <f>+IF(E11&lt;&gt;0,"Pilas con Fondo de Solidaridad, Sobre Seguridad Social","")</f>
        <v/>
      </c>
      <c r="G13" s="61"/>
    </row>
    <row r="14" spans="2:7" s="6" customFormat="1" ht="15" customHeight="1" thickBot="1" x14ac:dyDescent="0.3">
      <c r="B14" s="5"/>
      <c r="C14" s="33" t="s">
        <v>31</v>
      </c>
      <c r="D14" s="34"/>
      <c r="E14" s="35">
        <f>+E7-E9-E10-E13-E11-E12</f>
        <v>4200000</v>
      </c>
      <c r="F14" s="64"/>
      <c r="G14" s="61"/>
    </row>
    <row r="15" spans="2:7" ht="6" customHeight="1" thickBot="1" x14ac:dyDescent="0.3">
      <c r="B15" s="2"/>
      <c r="C15" s="11"/>
      <c r="D15" s="11"/>
      <c r="E15" s="12"/>
      <c r="F15" s="65"/>
      <c r="G15" s="61"/>
    </row>
    <row r="16" spans="2:7" ht="15" customHeight="1" x14ac:dyDescent="0.25">
      <c r="B16" s="2"/>
      <c r="C16" s="111" t="s">
        <v>17</v>
      </c>
      <c r="D16" s="112"/>
      <c r="E16" s="113"/>
      <c r="F16" s="64"/>
      <c r="G16" s="61"/>
    </row>
    <row r="17" spans="2:7" ht="51" x14ac:dyDescent="0.25">
      <c r="B17" s="2"/>
      <c r="C17" s="13" t="s">
        <v>40</v>
      </c>
      <c r="D17" s="14"/>
      <c r="E17" s="31">
        <v>0</v>
      </c>
      <c r="F17" s="65"/>
      <c r="G17" s="89"/>
    </row>
    <row r="18" spans="2:7" ht="25.5" x14ac:dyDescent="0.25">
      <c r="B18" s="2"/>
      <c r="C18" s="13" t="s">
        <v>41</v>
      </c>
      <c r="D18" s="14"/>
      <c r="E18" s="31">
        <v>0</v>
      </c>
      <c r="F18" s="65"/>
      <c r="G18" s="92"/>
    </row>
    <row r="19" spans="2:7" ht="26.25" thickBot="1" x14ac:dyDescent="0.3">
      <c r="B19" s="2"/>
      <c r="C19" s="13" t="s">
        <v>42</v>
      </c>
      <c r="D19" s="14"/>
      <c r="E19" s="31">
        <v>0</v>
      </c>
      <c r="F19" s="90"/>
      <c r="G19" s="89"/>
    </row>
    <row r="20" spans="2:7" ht="15.75" thickBot="1" x14ac:dyDescent="0.3">
      <c r="B20" s="2"/>
      <c r="C20" s="36" t="s">
        <v>25</v>
      </c>
      <c r="D20" s="37"/>
      <c r="E20" s="38">
        <f>SUM(E17:E19)</f>
        <v>0</v>
      </c>
      <c r="F20" s="63"/>
      <c r="G20" s="61"/>
    </row>
    <row r="21" spans="2:7" ht="15.75" thickBot="1" x14ac:dyDescent="0.3">
      <c r="B21" s="2"/>
      <c r="C21" s="59" t="s">
        <v>26</v>
      </c>
      <c r="D21" s="37"/>
      <c r="E21" s="38">
        <f>+E14-E20</f>
        <v>4200000</v>
      </c>
      <c r="F21" s="63"/>
      <c r="G21" s="61"/>
    </row>
    <row r="22" spans="2:7" ht="15" customHeight="1" x14ac:dyDescent="0.25">
      <c r="B22" s="2"/>
      <c r="C22" s="115" t="s">
        <v>18</v>
      </c>
      <c r="D22" s="116"/>
      <c r="E22" s="117"/>
      <c r="F22" s="66"/>
      <c r="G22" s="60"/>
    </row>
    <row r="23" spans="2:7" ht="15" customHeight="1" x14ac:dyDescent="0.25">
      <c r="B23" s="2"/>
      <c r="C23" s="13" t="s">
        <v>22</v>
      </c>
      <c r="D23" s="15"/>
      <c r="E23" s="32">
        <v>0</v>
      </c>
      <c r="F23" s="65"/>
      <c r="G23" s="91"/>
    </row>
    <row r="24" spans="2:7" ht="51.75" customHeight="1" thickBot="1" x14ac:dyDescent="0.3">
      <c r="B24" s="2"/>
      <c r="C24" s="13" t="s">
        <v>35</v>
      </c>
      <c r="D24" s="15"/>
      <c r="E24" s="32">
        <v>0</v>
      </c>
      <c r="F24" s="90" t="str">
        <f>+IF(E24&gt;(E7*0.3),CONCATENATE("Pilas no puede ser mayor de $",TEXT((E14*0.4)," #.#"),""),"")</f>
        <v/>
      </c>
      <c r="G24" s="91"/>
    </row>
    <row r="25" spans="2:7" ht="15.75" thickBot="1" x14ac:dyDescent="0.3">
      <c r="B25" s="2"/>
      <c r="C25" s="36" t="s">
        <v>27</v>
      </c>
      <c r="D25" s="37"/>
      <c r="E25" s="38">
        <f>SUM(E23:E24)</f>
        <v>0</v>
      </c>
      <c r="F25" s="63"/>
      <c r="G25" s="60"/>
    </row>
    <row r="26" spans="2:7" ht="15.75" thickBot="1" x14ac:dyDescent="0.3">
      <c r="B26" s="2"/>
      <c r="C26" s="59" t="s">
        <v>28</v>
      </c>
      <c r="D26" s="37"/>
      <c r="E26" s="38">
        <f>+E21-E25</f>
        <v>4200000</v>
      </c>
      <c r="F26" s="63"/>
      <c r="G26" s="60"/>
    </row>
    <row r="27" spans="2:7" ht="39" thickBot="1" x14ac:dyDescent="0.3">
      <c r="B27" s="2"/>
      <c r="C27" s="20" t="s">
        <v>43</v>
      </c>
      <c r="D27" s="15"/>
      <c r="E27" s="16">
        <f>+E26*25%</f>
        <v>1050000</v>
      </c>
      <c r="F27" s="67"/>
      <c r="G27" s="60"/>
    </row>
    <row r="28" spans="2:7" ht="15" customHeight="1" x14ac:dyDescent="0.25">
      <c r="B28" s="2"/>
      <c r="C28" s="59" t="s">
        <v>29</v>
      </c>
      <c r="D28" s="37"/>
      <c r="E28" s="38">
        <f>+E26-E27</f>
        <v>3150000</v>
      </c>
      <c r="F28" s="63"/>
      <c r="G28" s="60"/>
    </row>
    <row r="29" spans="2:7" ht="15" customHeight="1" x14ac:dyDescent="0.25">
      <c r="B29" s="2"/>
      <c r="C29" s="45" t="s">
        <v>30</v>
      </c>
      <c r="D29" s="46"/>
      <c r="E29" s="47">
        <f>+E14*0.4</f>
        <v>1680000</v>
      </c>
      <c r="F29" s="93"/>
      <c r="G29" s="60"/>
    </row>
    <row r="30" spans="2:7" ht="15" customHeight="1" x14ac:dyDescent="0.25">
      <c r="B30" s="2"/>
      <c r="C30" s="17" t="s">
        <v>23</v>
      </c>
      <c r="D30" s="18"/>
      <c r="E30" s="19">
        <f>+E20+E25+E27</f>
        <v>1050000</v>
      </c>
      <c r="F30" s="93"/>
      <c r="G30" s="60"/>
    </row>
    <row r="31" spans="2:7" ht="9.75" customHeight="1" thickBot="1" x14ac:dyDescent="0.3">
      <c r="B31" s="2"/>
      <c r="C31" s="11"/>
      <c r="D31" s="11"/>
      <c r="E31" s="12"/>
      <c r="F31" s="63"/>
      <c r="G31" s="60"/>
    </row>
    <row r="32" spans="2:7" ht="15" customHeight="1" thickBot="1" x14ac:dyDescent="0.3">
      <c r="B32" s="2"/>
      <c r="C32" s="39" t="s">
        <v>1</v>
      </c>
      <c r="D32" s="40"/>
      <c r="E32" s="41">
        <f>+IF(E30&gt;E14*0.4,E14-E14*0.4,E14-E30)</f>
        <v>3150000</v>
      </c>
      <c r="F32" s="66"/>
      <c r="G32" s="68"/>
    </row>
    <row r="33" spans="2:7" ht="15" customHeight="1" thickBot="1" x14ac:dyDescent="0.3">
      <c r="B33" s="2"/>
      <c r="C33" s="42" t="s">
        <v>2</v>
      </c>
      <c r="D33" s="43"/>
      <c r="E33" s="44">
        <f>+E32/E5</f>
        <v>88.46575111635353</v>
      </c>
      <c r="F33" s="69"/>
      <c r="G33" s="60"/>
    </row>
    <row r="34" spans="2:7" ht="9" customHeight="1" thickBot="1" x14ac:dyDescent="0.3">
      <c r="B34" s="21"/>
      <c r="C34" s="22"/>
      <c r="D34" s="22"/>
      <c r="E34" s="23"/>
      <c r="F34" s="22"/>
      <c r="G34" s="75"/>
    </row>
    <row r="35" spans="2:7" ht="9" customHeight="1" thickBot="1" x14ac:dyDescent="0.3"/>
    <row r="36" spans="2:7" x14ac:dyDescent="0.25">
      <c r="B36" s="109" t="s">
        <v>3</v>
      </c>
      <c r="C36" s="107"/>
      <c r="D36" s="110"/>
      <c r="E36" s="107" t="s">
        <v>4</v>
      </c>
      <c r="F36" s="107" t="s">
        <v>5</v>
      </c>
      <c r="G36" s="105" t="s">
        <v>6</v>
      </c>
    </row>
    <row r="37" spans="2:7" ht="16.5" customHeight="1" x14ac:dyDescent="0.25">
      <c r="B37" s="82" t="s">
        <v>7</v>
      </c>
      <c r="C37" s="81" t="s">
        <v>8</v>
      </c>
      <c r="D37" s="80"/>
      <c r="E37" s="114"/>
      <c r="F37" s="108"/>
      <c r="G37" s="106"/>
    </row>
    <row r="38" spans="2:7" s="25" customFormat="1" x14ac:dyDescent="0.2">
      <c r="B38" s="124" t="s">
        <v>9</v>
      </c>
      <c r="C38" s="76">
        <v>95</v>
      </c>
      <c r="D38" s="125"/>
      <c r="E38" s="77">
        <v>0</v>
      </c>
      <c r="F38" s="126">
        <v>0</v>
      </c>
      <c r="G38" s="83">
        <f>IF(E33&lt;C38,0,0)</f>
        <v>0</v>
      </c>
    </row>
    <row r="39" spans="2:7" s="25" customFormat="1" ht="24" customHeight="1" x14ac:dyDescent="0.2">
      <c r="B39" s="124" t="s">
        <v>46</v>
      </c>
      <c r="C39" s="76">
        <v>150</v>
      </c>
      <c r="D39" s="125"/>
      <c r="E39" s="78">
        <v>0.19</v>
      </c>
      <c r="F39" s="79" t="s">
        <v>47</v>
      </c>
      <c r="G39" s="83">
        <f>IF($E$33&gt;C38,(IF($E$33&lt;=C39,ROUND(ABS(ROUND((($E$33-C38)*19%),2))*$E46,-2),0)),0)</f>
        <v>0</v>
      </c>
    </row>
    <row r="40" spans="2:7" s="25" customFormat="1" ht="26.25" customHeight="1" x14ac:dyDescent="0.2">
      <c r="B40" s="124" t="s">
        <v>48</v>
      </c>
      <c r="C40" s="76">
        <v>360</v>
      </c>
      <c r="D40" s="125"/>
      <c r="E40" s="78">
        <v>0.28000000000000003</v>
      </c>
      <c r="F40" s="79" t="s">
        <v>49</v>
      </c>
      <c r="G40" s="83">
        <f>IF($E$33&gt;C39,IF($E$33&lt;=C40,ROUND((ABS(ROUND((($E$33-C39)*E40),2))*$E$46)+(10*$E$46),-2),0),0)</f>
        <v>0</v>
      </c>
    </row>
    <row r="41" spans="2:7" s="25" customFormat="1" ht="25.5" customHeight="1" x14ac:dyDescent="0.2">
      <c r="B41" s="124" t="s">
        <v>50</v>
      </c>
      <c r="C41" s="76">
        <v>640</v>
      </c>
      <c r="D41" s="125"/>
      <c r="E41" s="78">
        <v>0.33</v>
      </c>
      <c r="F41" s="79" t="s">
        <v>51</v>
      </c>
      <c r="G41" s="83">
        <f>IF($E$33&gt;C40,IF($E$33&lt;=C41,ROUND((ABS(ROUND((($E$33-C40)*E41),2))*$E$46)+(69*$E$46),-2),0),0)</f>
        <v>0</v>
      </c>
    </row>
    <row r="42" spans="2:7" s="25" customFormat="1" ht="24" customHeight="1" x14ac:dyDescent="0.2">
      <c r="B42" s="124" t="s">
        <v>32</v>
      </c>
      <c r="C42" s="76">
        <v>945</v>
      </c>
      <c r="D42" s="125"/>
      <c r="E42" s="78">
        <v>0.35</v>
      </c>
      <c r="F42" s="79" t="s">
        <v>52</v>
      </c>
      <c r="G42" s="83">
        <f>IF($E$33&gt;C41,IF($E$33&lt;=C42,ROUND((ABS(ROUND((($E$33-C41)*E42),2))*$E$46)+(162*$E$46),-2),0),0)</f>
        <v>0</v>
      </c>
    </row>
    <row r="43" spans="2:7" s="25" customFormat="1" ht="25.5" customHeight="1" x14ac:dyDescent="0.2">
      <c r="B43" s="124" t="s">
        <v>33</v>
      </c>
      <c r="C43" s="76">
        <v>2300</v>
      </c>
      <c r="D43" s="125"/>
      <c r="E43" s="78">
        <v>0.37</v>
      </c>
      <c r="F43" s="79" t="s">
        <v>53</v>
      </c>
      <c r="G43" s="83">
        <f>IF($E$33&gt;C42,IF($E$33&lt;=C43,ROUND((ABS(ROUND((($E$33-C42)*E43),2))*$E$46)+(268*$E$46),-2),0),0)</f>
        <v>0</v>
      </c>
    </row>
    <row r="44" spans="2:7" s="25" customFormat="1" ht="24.75" customHeight="1" thickBot="1" x14ac:dyDescent="0.25">
      <c r="B44" s="127" t="s">
        <v>34</v>
      </c>
      <c r="C44" s="84" t="s">
        <v>10</v>
      </c>
      <c r="D44" s="128"/>
      <c r="E44" s="85">
        <v>0.39</v>
      </c>
      <c r="F44" s="86" t="s">
        <v>54</v>
      </c>
      <c r="G44" s="83">
        <f>IF($E$33&gt;C43,IF($E$33&lt;=C44,ROUND((ABS(ROUND((($E$33-C43)*E44),2))*$E$46)+(770*$E$46),-2),0),0)</f>
        <v>0</v>
      </c>
    </row>
    <row r="45" spans="2:7" s="25" customFormat="1" ht="10.5" customHeight="1" x14ac:dyDescent="0.2">
      <c r="E45" s="26"/>
      <c r="F45" s="29"/>
      <c r="G45" s="29"/>
    </row>
    <row r="46" spans="2:7" ht="15" customHeight="1" x14ac:dyDescent="0.25">
      <c r="C46" s="48" t="s">
        <v>39</v>
      </c>
      <c r="D46" s="48"/>
      <c r="E46" s="101">
        <f>+E5</f>
        <v>35607</v>
      </c>
      <c r="F46" s="98"/>
      <c r="G46" s="99"/>
    </row>
    <row r="47" spans="2:7" ht="15" customHeight="1" x14ac:dyDescent="0.25">
      <c r="C47" s="48" t="s">
        <v>11</v>
      </c>
      <c r="D47" s="48"/>
      <c r="E47" s="102">
        <f>+E33</f>
        <v>88.46575111635353</v>
      </c>
      <c r="F47" s="98"/>
      <c r="G47" s="100"/>
    </row>
    <row r="48" spans="2:7" ht="9" customHeight="1" x14ac:dyDescent="0.25">
      <c r="C48" s="27"/>
      <c r="D48" s="27"/>
      <c r="E48" s="28"/>
      <c r="F48" s="65"/>
      <c r="G48" s="65"/>
    </row>
    <row r="49" spans="3:7" ht="15" customHeight="1" x14ac:dyDescent="0.25">
      <c r="C49" s="104" t="s">
        <v>12</v>
      </c>
      <c r="D49" s="104"/>
      <c r="E49" s="71">
        <f>SUM(G38:G44)</f>
        <v>0</v>
      </c>
      <c r="F49" s="103" t="str">
        <f>+IF(E49,"VALOR BASE RETENCION","")</f>
        <v/>
      </c>
      <c r="G49" s="71" t="str">
        <f>+IF(E49,E32,"")</f>
        <v/>
      </c>
    </row>
    <row r="51" spans="3:7" ht="15" customHeight="1" x14ac:dyDescent="0.25">
      <c r="C51" s="72" t="s">
        <v>37</v>
      </c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169EAEBB-C5CC-4297-BF8C-64F12E76A8C6}" showPageBreaks="1">
      <selection activeCell="F3" sqref="F3:F6"/>
      <pageMargins left="0.11811023622047245" right="3.937007874015748E-2" top="0.35433070866141736" bottom="0.15748031496062992" header="0.31496062992125984" footer="0.31496062992125984"/>
      <printOptions horizontalCentered="1"/>
      <pageSetup scale="70" orientation="portrait" r:id="rId1"/>
    </customSheetView>
  </customSheetViews>
  <mergeCells count="9">
    <mergeCell ref="B1:G1"/>
    <mergeCell ref="B2:G2"/>
    <mergeCell ref="C49:D49"/>
    <mergeCell ref="G36:G37"/>
    <mergeCell ref="F36:F37"/>
    <mergeCell ref="B36:D36"/>
    <mergeCell ref="C16:E16"/>
    <mergeCell ref="E36:E37"/>
    <mergeCell ref="C22:E22"/>
  </mergeCells>
  <phoneticPr fontId="4" type="noConversion"/>
  <printOptions horizontalCentered="1"/>
  <pageMargins left="0.70866141732283472" right="3.937007874015748E-2" top="0.94488188976377963" bottom="0.15748031496062992" header="0.31496062992125984" footer="0.31496062992125984"/>
  <pageSetup scale="59" orientation="portrait" r:id="rId2"/>
  <ignoredErrors>
    <ignoredError sqref="F24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SIMULADOR 2019 Art. 383</vt:lpstr>
      <vt:lpstr>'SIMULADOR 2019 Art. 383'!Área_de_impresión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Edwin Alberto Muñoz Holguin</cp:lastModifiedBy>
  <cp:lastPrinted>2020-01-23T22:21:25Z</cp:lastPrinted>
  <dcterms:created xsi:type="dcterms:W3CDTF">2010-03-10T22:40:40Z</dcterms:created>
  <dcterms:modified xsi:type="dcterms:W3CDTF">2020-01-28T19:54:08Z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